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nlage 1" sheetId="1" r:id="rId1"/>
    <sheet name="Anlage 2" sheetId="2" r:id="rId2"/>
    <sheet name="Anlage 3" sheetId="3" r:id="rId3"/>
  </sheets>
  <definedNames>
    <definedName name="_xlnm.Print_Area" localSheetId="1">'Anlage 2'!$A$1:$N$52</definedName>
    <definedName name="_xlnm.Print_Area" localSheetId="2">'Anlage 3'!$A$1:$H$50</definedName>
  </definedNames>
  <calcPr fullCalcOnLoad="1"/>
</workbook>
</file>

<file path=xl/sharedStrings.xml><?xml version="1.0" encoding="utf-8"?>
<sst xmlns="http://schemas.openxmlformats.org/spreadsheetml/2006/main" count="203" uniqueCount="123">
  <si>
    <t xml:space="preserve">Aufnahme von Kindern unter drei Jahren mit einer Behinderung in  </t>
  </si>
  <si>
    <t>Finanzierungsberechnung:</t>
  </si>
  <si>
    <t xml:space="preserve">  5 Kinder mit Behinderung</t>
  </si>
  <si>
    <t>10 Kinder ohne Behinderung</t>
  </si>
  <si>
    <t>4 Kinder zwischen 2 und 3 Jahren, davon 1-2 Kinder mit Behinderung</t>
  </si>
  <si>
    <t>4 Kinder zwischen 3 und 4 Jahren, davon 1-2 Kinder mit Behinderung</t>
  </si>
  <si>
    <t>4 Kinder zwischen 4 und 5 Jahren, davon 1-2 Kinder mit Behinderung</t>
  </si>
  <si>
    <t>3 Kinder zwischen 5 Jahren und Einschulung, davon 1-2 Kinder mit Behinderung</t>
  </si>
  <si>
    <t>Insgesamt können nur 5 Kinder mit Behinderung aufgenommen werden.</t>
  </si>
  <si>
    <t xml:space="preserve">  4 Kinder mit Behinderung</t>
  </si>
  <si>
    <t>11 Kinder ohne Behinderung</t>
  </si>
  <si>
    <t xml:space="preserve">  2 Kinder zwischen 1 und 2 Jahren, davon 1 Kind mit Behinderung</t>
  </si>
  <si>
    <t xml:space="preserve">  3 Kinder zwischen 2 und 3 Jahren, davon 1 Kind mit Behinderung</t>
  </si>
  <si>
    <t xml:space="preserve">  4 Kinder zwischen 3 und 4 Jahren, davon 1 Kind mit Behinderung</t>
  </si>
  <si>
    <t xml:space="preserve">  3 Kinder zwischen 4 und 5 Jahren, davon 1 Kind mit Behinderung</t>
  </si>
  <si>
    <t xml:space="preserve">  3 Kinder zwischen 5 Jahren und Einschulung</t>
  </si>
  <si>
    <t>Insgesamt können nur 4 Kinder mit Behinderung aufgenommen werden.</t>
  </si>
  <si>
    <t>A.   Ermittelte Pauschale:</t>
  </si>
  <si>
    <t xml:space="preserve"> </t>
  </si>
  <si>
    <t>B.   Bewilligung durch Kommune</t>
  </si>
  <si>
    <t xml:space="preserve">      bei Anerk. Träger der freien Jugendh.</t>
  </si>
  <si>
    <t>C.   Trägeranteil</t>
  </si>
  <si>
    <t>D.   Landesanteil</t>
  </si>
  <si>
    <t>E.   Elternbeiträge (19 Prozent)</t>
  </si>
  <si>
    <t xml:space="preserve">F.   Verbleibender kommunaler </t>
  </si>
  <si>
    <t xml:space="preserve">      Fianzierungsaufwand</t>
  </si>
  <si>
    <t>maximale Finanzierung LVR</t>
  </si>
  <si>
    <t>(50 Prozent von F.)</t>
  </si>
  <si>
    <t>(50 Prozent von C.)</t>
  </si>
  <si>
    <t>(Essensgeld)</t>
  </si>
  <si>
    <t>(Fahrtkosten)</t>
  </si>
  <si>
    <t>Summe:</t>
  </si>
  <si>
    <t>Kosten pro Platz:</t>
  </si>
  <si>
    <t xml:space="preserve">  (3,5facher Satz )                              </t>
  </si>
  <si>
    <t xml:space="preserve">                         Tageseinrichtungen für Kinder</t>
  </si>
  <si>
    <t xml:space="preserve">10 x Kindpauschale Gruppe I b            </t>
  </si>
  <si>
    <t xml:space="preserve">  5 x Kindpauschale Gruppe III b         </t>
  </si>
  <si>
    <t xml:space="preserve">  für Kinder mit Behinderung               </t>
  </si>
  <si>
    <t xml:space="preserve">2 x Kindpauschale Gruppe II b             </t>
  </si>
  <si>
    <t xml:space="preserve"> 9 x Kindpauschale Gruppe I b            </t>
  </si>
  <si>
    <t xml:space="preserve"> 4 x Kindpauschale Gruppe III b           </t>
  </si>
  <si>
    <t xml:space="preserve"> für Kinder mit Behinderung                   </t>
  </si>
  <si>
    <t xml:space="preserve"> ( 3,5facher Satz)                                </t>
  </si>
  <si>
    <r>
      <t>15 Kinder</t>
    </r>
    <r>
      <rPr>
        <sz val="12"/>
        <rFont val="Arial"/>
        <family val="0"/>
      </rPr>
      <t>, davon</t>
    </r>
  </si>
  <si>
    <r>
      <t xml:space="preserve">15 Kinder, </t>
    </r>
    <r>
      <rPr>
        <sz val="12"/>
        <rFont val="Arial"/>
        <family val="0"/>
      </rPr>
      <t>davon</t>
    </r>
  </si>
  <si>
    <t>Haushaltsansatz 2008 =</t>
  </si>
  <si>
    <t>Kostensteigerung durch zusätzl. Plätze für unter dreijähige Kinder bei</t>
  </si>
  <si>
    <t>somit neuer Haushaltsansatz</t>
  </si>
  <si>
    <t xml:space="preserve">      Finanzierungsaufwand</t>
  </si>
  <si>
    <t>§ 20 Abs.1 Satz  2</t>
  </si>
  <si>
    <t xml:space="preserve">91 v H. </t>
  </si>
  <si>
    <t xml:space="preserve">88 v.H. </t>
  </si>
  <si>
    <t xml:space="preserve">36,5 v.H. </t>
  </si>
  <si>
    <t xml:space="preserve">36 v.H. </t>
  </si>
  <si>
    <t>§ 20 Abs.1 Satz  3</t>
  </si>
  <si>
    <t xml:space="preserve">96 v.H. </t>
  </si>
  <si>
    <t>38,5 v.H.</t>
  </si>
  <si>
    <t>§ 20 Abs.1 Satz  4</t>
  </si>
  <si>
    <t>79 v.H.</t>
  </si>
  <si>
    <t xml:space="preserve">30 v.H. </t>
  </si>
  <si>
    <t>Durchschnittlicher Zuschussbetrag für alle Gruppenformen/Trägeranteile =</t>
  </si>
  <si>
    <t>19 v.H.</t>
  </si>
  <si>
    <t xml:space="preserve">32,5 v.H </t>
  </si>
  <si>
    <t>12 v.H.</t>
  </si>
  <si>
    <t xml:space="preserve">9 v.H. </t>
  </si>
  <si>
    <t>4 v.H.</t>
  </si>
  <si>
    <t xml:space="preserve">38,5 v.H. </t>
  </si>
  <si>
    <t>21 v.H.</t>
  </si>
  <si>
    <r>
      <t>(</t>
    </r>
    <r>
      <rPr>
        <sz val="12"/>
        <rFont val="Arial"/>
        <family val="2"/>
      </rPr>
      <t>Ø</t>
    </r>
    <r>
      <rPr>
        <sz val="12"/>
        <rFont val="Arial"/>
        <family val="0"/>
      </rPr>
      <t xml:space="preserve"> Elternbeiträge)</t>
    </r>
  </si>
  <si>
    <r>
      <t>(</t>
    </r>
    <r>
      <rPr>
        <sz val="12"/>
        <rFont val="Arial"/>
        <family val="2"/>
      </rPr>
      <t>Ø</t>
    </r>
    <r>
      <rPr>
        <sz val="12"/>
        <rFont val="Arial"/>
        <family val="0"/>
      </rPr>
      <t xml:space="preserve"> therap. Personal)</t>
    </r>
  </si>
  <si>
    <t>15.970 € :12 x 5 x 200 =</t>
  </si>
  <si>
    <t>15.970 € x 200 =</t>
  </si>
  <si>
    <t>15.970 € x 400 =</t>
  </si>
  <si>
    <t>15.970 € :12 x 5 x 100 =</t>
  </si>
  <si>
    <t>HH 2008</t>
  </si>
  <si>
    <t>2008 neu</t>
  </si>
  <si>
    <t>2009 neu</t>
  </si>
  <si>
    <t>2010 neu</t>
  </si>
  <si>
    <t>Anlage 1  - Seite 1 -</t>
  </si>
  <si>
    <t>Anlage 1  - Seite 2 -</t>
  </si>
  <si>
    <t xml:space="preserve">Kindpauschalen für Kinder im Alter von 2 Jahren bis zur Einschulung </t>
  </si>
  <si>
    <t xml:space="preserve">Berechnungsbeispiel für Kinder im Alter von 2 Jahren bis zur Einschulung </t>
  </si>
  <si>
    <t xml:space="preserve">Kindpauschalen für Kinder vom 1. Lebensjahr bis zur Einschulung </t>
  </si>
  <si>
    <t>Berechnungsbeispiel für Kinder vom 1. Lebensjahr bis zur Einschulung</t>
  </si>
  <si>
    <t xml:space="preserve">  200 Plätzen in 2008 (August bis Dezember)</t>
  </si>
  <si>
    <t xml:space="preserve">  200 Plätzen in 2009  (Januar bis Dezember) </t>
  </si>
  <si>
    <t xml:space="preserve"> +200 Plätzen in 2009  (August bis Dezember) </t>
  </si>
  <si>
    <t xml:space="preserve">  400 Plätzen in 2010 (Januar bis Dezember)</t>
  </si>
  <si>
    <t xml:space="preserve"> +100 Plätzen in 2010 (August bis Dezember)</t>
  </si>
  <si>
    <t>Anlage 3  - Seite 1 -</t>
  </si>
  <si>
    <t xml:space="preserve">Einzelintegration </t>
  </si>
  <si>
    <t>Pauschalen nach KiBiz in der Gruppenform IIIa</t>
  </si>
  <si>
    <t>Platzzahlreduzierung bei Aufnahme von</t>
  </si>
  <si>
    <r>
      <t>einem</t>
    </r>
    <r>
      <rPr>
        <sz val="12"/>
        <rFont val="Arial"/>
        <family val="2"/>
      </rPr>
      <t xml:space="preserve"> Kind mit Behinderung</t>
    </r>
  </si>
  <si>
    <t>Pauschale IIIb</t>
  </si>
  <si>
    <t>Pauschale für Kind mit Behinderung</t>
  </si>
  <si>
    <t>Differenzbetrag zur Regelgruppe</t>
  </si>
  <si>
    <t>Bisherige Förderung Einzelintegration</t>
  </si>
  <si>
    <t>Förderbetrag ab 01.08.2008</t>
  </si>
  <si>
    <t>um 1 Platz</t>
  </si>
  <si>
    <t>um 2 Plätze</t>
  </si>
  <si>
    <t>um 3 Plätze</t>
  </si>
  <si>
    <r>
      <t xml:space="preserve">zwei </t>
    </r>
    <r>
      <rPr>
        <sz val="12"/>
        <rFont val="Arial"/>
        <family val="2"/>
      </rPr>
      <t>Kindern mit Behinderung</t>
    </r>
  </si>
  <si>
    <t>um 4 Plätze</t>
  </si>
  <si>
    <t>um 5 Plätze</t>
  </si>
  <si>
    <t xml:space="preserve">Anlage 3  - Seite 2 - </t>
  </si>
  <si>
    <t>Pauschalen nach KiBiz in der Gruppenform IIIb</t>
  </si>
  <si>
    <t>Anlage 2</t>
  </si>
  <si>
    <t>Pauschale IIIa</t>
  </si>
  <si>
    <t xml:space="preserve"> ( = 25 [Kinder] x 3.165,24 € [25 Stunden] )</t>
  </si>
  <si>
    <t xml:space="preserve"> ( = 25 [Kinder] x 4.225,36 € [35 Stunden] )</t>
  </si>
  <si>
    <r>
      <t xml:space="preserve">               § 20 Abs.1 Satz  1</t>
    </r>
    <r>
      <rPr>
        <b/>
        <sz val="10"/>
        <rFont val="Arial"/>
        <family val="2"/>
      </rPr>
      <t xml:space="preserve"> </t>
    </r>
  </si>
  <si>
    <r>
      <t xml:space="preserve">                                       </t>
    </r>
    <r>
      <rPr>
        <b/>
        <sz val="10"/>
        <rFont val="Arial"/>
        <family val="2"/>
      </rPr>
      <t xml:space="preserve">    (kirchl. Träger)</t>
    </r>
  </si>
  <si>
    <t xml:space="preserve"> (freie Träger)</t>
  </si>
  <si>
    <t xml:space="preserve"> (Elterninitiativen)</t>
  </si>
  <si>
    <t>(Kommunale Träger)</t>
  </si>
  <si>
    <t xml:space="preserve">                      § 20 Abs.1 Satz  1</t>
  </si>
  <si>
    <r>
      <t xml:space="preserve">                                       </t>
    </r>
    <r>
      <rPr>
        <b/>
        <sz val="10"/>
        <rFont val="Arial"/>
        <family val="2"/>
      </rPr>
      <t xml:space="preserve">        (kirchl. Träger)</t>
    </r>
  </si>
  <si>
    <t xml:space="preserve">  500 Plätze in 2011 (Januar bis Juli)</t>
  </si>
  <si>
    <t xml:space="preserve">15.970 €: 12 x 7 x 500 = </t>
  </si>
  <si>
    <t>995.250,- €</t>
  </si>
  <si>
    <t>2011 neu</t>
  </si>
  <si>
    <t>Entwicklung der Kosten für das Teilprodukt "Modellhafte Förderung von Kindern unter 3 Jahren nach dem KiBiz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</si>
</sst>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0.0%"/>
    <numFmt numFmtId="170" formatCode="[$-407]dddd\,\ d\.\ mmmm\ yyyy"/>
    <numFmt numFmtId="171" formatCode="m\i\o/\ &quot;€&quot;"/>
  </numFmts>
  <fonts count="1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8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9" fontId="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168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168" fontId="6" fillId="2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168" fontId="7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68" fontId="1" fillId="2" borderId="2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wrapText="1"/>
    </xf>
    <xf numFmtId="0" fontId="0" fillId="0" borderId="5" xfId="0" applyBorder="1" applyAlignment="1">
      <alignment/>
    </xf>
    <xf numFmtId="168" fontId="0" fillId="0" borderId="5" xfId="0" applyNumberFormat="1" applyBorder="1" applyAlignment="1">
      <alignment/>
    </xf>
    <xf numFmtId="168" fontId="0" fillId="3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8" fillId="0" borderId="0" xfId="0" applyFont="1" applyBorder="1" applyAlignment="1">
      <alignment wrapText="1"/>
    </xf>
    <xf numFmtId="168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4825"/>
          <c:w val="0.98575"/>
          <c:h val="0.91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'Anlage 2'!$B$29:$B$33</c:f>
              <c:strCache>
                <c:ptCount val="5"/>
                <c:pt idx="0">
                  <c:v>HH 2008</c:v>
                </c:pt>
                <c:pt idx="1">
                  <c:v>2008 neu</c:v>
                </c:pt>
                <c:pt idx="2">
                  <c:v>2009 neu</c:v>
                </c:pt>
                <c:pt idx="3">
                  <c:v>2010 neu</c:v>
                </c:pt>
                <c:pt idx="4">
                  <c:v>2011 neu</c:v>
                </c:pt>
              </c:strCache>
            </c:strRef>
          </c:cat>
          <c:val>
            <c:numRef>
              <c:f>'Anlage 2'!$C$29:$C$33</c:f>
              <c:numCache>
                <c:ptCount val="5"/>
                <c:pt idx="0">
                  <c:v>0.99</c:v>
                </c:pt>
                <c:pt idx="1">
                  <c:v>1.33</c:v>
                </c:pt>
                <c:pt idx="2">
                  <c:v>4.52</c:v>
                </c:pt>
                <c:pt idx="3">
                  <c:v>7.05</c:v>
                </c:pt>
                <c:pt idx="4">
                  <c:v>4.65</c:v>
                </c:pt>
              </c:numCache>
            </c:numRef>
          </c:val>
        </c:ser>
        <c:axId val="14815178"/>
        <c:axId val="66227739"/>
      </c:barChart>
      <c:catAx>
        <c:axId val="14815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227739"/>
        <c:crosses val="autoZero"/>
        <c:auto val="1"/>
        <c:lblOffset val="100"/>
        <c:noMultiLvlLbl val="0"/>
      </c:catAx>
      <c:valAx>
        <c:axId val="6622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MIO. EURO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15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19050</xdr:rowOff>
    </xdr:from>
    <xdr:to>
      <xdr:col>12</xdr:col>
      <xdr:colOff>685800</xdr:colOff>
      <xdr:row>48</xdr:row>
      <xdr:rowOff>114300</xdr:rowOff>
    </xdr:to>
    <xdr:graphicFrame>
      <xdr:nvGraphicFramePr>
        <xdr:cNvPr id="1" name="Chart 9"/>
        <xdr:cNvGraphicFramePr/>
      </xdr:nvGraphicFramePr>
      <xdr:xfrm>
        <a:off x="19050" y="4152900"/>
        <a:ext cx="134874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60" workbookViewId="0" topLeftCell="A27">
      <selection activeCell="A47" sqref="A47"/>
    </sheetView>
  </sheetViews>
  <sheetFormatPr defaultColWidth="11.421875" defaultRowHeight="12.75"/>
  <cols>
    <col min="1" max="1" width="15.140625" style="0" customWidth="1"/>
    <col min="3" max="3" width="24.57421875" style="0" customWidth="1"/>
    <col min="4" max="4" width="40.00390625" style="0" customWidth="1"/>
    <col min="5" max="5" width="17.7109375" style="0" customWidth="1"/>
    <col min="6" max="6" width="15.421875" style="0" customWidth="1"/>
    <col min="7" max="7" width="17.140625" style="0" customWidth="1"/>
    <col min="8" max="8" width="16.57421875" style="0" bestFit="1" customWidth="1"/>
    <col min="10" max="10" width="14.57421875" style="0" bestFit="1" customWidth="1"/>
    <col min="11" max="11" width="11.7109375" style="0" bestFit="1" customWidth="1"/>
  </cols>
  <sheetData>
    <row r="1" ht="20.25">
      <c r="J1" s="31" t="s">
        <v>78</v>
      </c>
    </row>
    <row r="3" spans="1:10" ht="18">
      <c r="A3" s="1"/>
      <c r="B3" s="2"/>
      <c r="C3" s="1"/>
      <c r="D3" s="10" t="s">
        <v>0</v>
      </c>
      <c r="E3" s="11"/>
      <c r="F3" s="11"/>
      <c r="G3" s="11"/>
      <c r="H3" s="12"/>
      <c r="I3" s="12"/>
      <c r="J3" s="12"/>
    </row>
    <row r="4" spans="1:10" ht="18">
      <c r="A4" s="1"/>
      <c r="B4" s="2"/>
      <c r="C4" s="1"/>
      <c r="D4" s="10" t="s">
        <v>34</v>
      </c>
      <c r="E4" s="11"/>
      <c r="F4" s="11"/>
      <c r="G4" s="11"/>
      <c r="H4" s="12"/>
      <c r="I4" s="12"/>
      <c r="J4" s="12"/>
    </row>
    <row r="5" spans="4:10" ht="18">
      <c r="D5" s="12"/>
      <c r="E5" s="12"/>
      <c r="F5" s="12"/>
      <c r="G5" s="12"/>
      <c r="H5" s="12"/>
      <c r="I5" s="12"/>
      <c r="J5" s="12"/>
    </row>
    <row r="6" spans="4:10" ht="18">
      <c r="D6" s="12"/>
      <c r="E6" s="10" t="s">
        <v>1</v>
      </c>
      <c r="F6" s="12"/>
      <c r="G6" s="12"/>
      <c r="H6" s="12"/>
      <c r="I6" s="12"/>
      <c r="J6" s="12"/>
    </row>
    <row r="7" spans="1:13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4" t="s">
        <v>80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>
      <c r="A9" s="3"/>
      <c r="B9" s="3"/>
      <c r="C9" s="3"/>
      <c r="D9" s="3"/>
      <c r="E9" s="3"/>
      <c r="F9" s="3"/>
      <c r="G9" s="4" t="s">
        <v>43</v>
      </c>
      <c r="H9" s="3"/>
      <c r="I9" s="3"/>
      <c r="J9" s="3"/>
      <c r="K9" s="3"/>
      <c r="L9" s="3"/>
      <c r="M9" s="3"/>
    </row>
    <row r="10" spans="1:13" ht="15">
      <c r="A10" s="3"/>
      <c r="B10" s="3" t="s">
        <v>35</v>
      </c>
      <c r="C10" s="3"/>
      <c r="D10" s="3"/>
      <c r="E10" s="5">
        <f>5746.7*10</f>
        <v>57467</v>
      </c>
      <c r="F10" s="3"/>
      <c r="G10" s="3" t="s">
        <v>2</v>
      </c>
      <c r="H10" s="3"/>
      <c r="I10" s="3"/>
      <c r="J10" s="3"/>
      <c r="K10" s="3"/>
      <c r="L10" s="3"/>
      <c r="M10" s="3"/>
    </row>
    <row r="11" spans="1:13" ht="15">
      <c r="A11" s="3"/>
      <c r="B11" s="3" t="s">
        <v>36</v>
      </c>
      <c r="C11" s="3"/>
      <c r="D11" s="3"/>
      <c r="E11" s="5">
        <f>4225.36*3.5*5</f>
        <v>73943.79999999999</v>
      </c>
      <c r="F11" s="3"/>
      <c r="G11" s="3" t="s">
        <v>3</v>
      </c>
      <c r="H11" s="3"/>
      <c r="I11" s="3"/>
      <c r="J11" s="3"/>
      <c r="K11" s="3"/>
      <c r="L11" s="3"/>
      <c r="M11" s="3"/>
    </row>
    <row r="12" spans="1:13" ht="15">
      <c r="A12" s="3"/>
      <c r="B12" s="3" t="s">
        <v>37</v>
      </c>
      <c r="C12" s="3"/>
      <c r="D12" s="3"/>
      <c r="E12" s="6"/>
      <c r="F12" s="3"/>
      <c r="G12" s="3"/>
      <c r="H12" s="3"/>
      <c r="I12" s="3"/>
      <c r="J12" s="3"/>
      <c r="K12" s="3"/>
      <c r="L12" s="3"/>
      <c r="M12" s="3"/>
    </row>
    <row r="13" spans="1:13" ht="15">
      <c r="A13" s="3"/>
      <c r="B13" s="3" t="s">
        <v>33</v>
      </c>
      <c r="C13" s="3"/>
      <c r="D13" s="3"/>
      <c r="E13" s="5">
        <f>SUM(E10:E12)</f>
        <v>131410.8</v>
      </c>
      <c r="F13" s="3"/>
      <c r="G13" s="3" t="s">
        <v>4</v>
      </c>
      <c r="H13" s="3"/>
      <c r="I13" s="3"/>
      <c r="J13" s="3"/>
      <c r="K13" s="3"/>
      <c r="L13" s="3"/>
      <c r="M13" s="3"/>
    </row>
    <row r="14" spans="1:13" ht="15">
      <c r="A14" s="3"/>
      <c r="B14" s="3"/>
      <c r="C14" s="3"/>
      <c r="D14" s="3"/>
      <c r="E14" s="3"/>
      <c r="F14" s="3"/>
      <c r="G14" s="3" t="s">
        <v>5</v>
      </c>
      <c r="H14" s="3"/>
      <c r="I14" s="3"/>
      <c r="J14" s="3"/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 t="s">
        <v>6</v>
      </c>
      <c r="H15" s="3"/>
      <c r="I15" s="3"/>
      <c r="J15" s="3"/>
      <c r="K15" s="3"/>
      <c r="L15" s="3"/>
      <c r="M15" s="3"/>
    </row>
    <row r="16" spans="1:13" ht="15">
      <c r="A16" s="3"/>
      <c r="B16" s="3"/>
      <c r="C16" s="3"/>
      <c r="D16" s="3"/>
      <c r="E16" s="3"/>
      <c r="F16" s="3"/>
      <c r="G16" s="3" t="s">
        <v>7</v>
      </c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 t="s">
        <v>8</v>
      </c>
      <c r="H18" s="3"/>
      <c r="I18" s="3"/>
      <c r="J18" s="3"/>
      <c r="K18" s="3"/>
      <c r="L18" s="3"/>
      <c r="M18" s="3"/>
    </row>
    <row r="19" spans="1:13" ht="15.75">
      <c r="A19" s="4" t="s">
        <v>81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 t="s">
        <v>17</v>
      </c>
      <c r="B21" s="3"/>
      <c r="C21" s="3"/>
      <c r="D21" s="18">
        <f>E13</f>
        <v>131410.8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56" t="s">
        <v>111</v>
      </c>
      <c r="E23" s="57"/>
      <c r="F23" s="13" t="s">
        <v>49</v>
      </c>
      <c r="G23" s="3"/>
      <c r="H23" s="13" t="s">
        <v>54</v>
      </c>
      <c r="I23" s="3"/>
      <c r="J23" s="13" t="s">
        <v>57</v>
      </c>
      <c r="K23" s="3"/>
      <c r="L23" s="3"/>
      <c r="M23" s="3"/>
    </row>
    <row r="24" spans="1:13" ht="15">
      <c r="A24" s="3" t="s">
        <v>19</v>
      </c>
      <c r="B24" s="3"/>
      <c r="C24" s="3"/>
      <c r="D24" s="3" t="s">
        <v>112</v>
      </c>
      <c r="E24" s="3"/>
      <c r="F24" s="16" t="s">
        <v>113</v>
      </c>
      <c r="G24" s="3"/>
      <c r="H24" s="16" t="s">
        <v>114</v>
      </c>
      <c r="I24" s="3"/>
      <c r="J24" s="16" t="s">
        <v>115</v>
      </c>
      <c r="K24" s="3"/>
      <c r="L24" s="3"/>
      <c r="M24" s="3"/>
    </row>
    <row r="25" spans="1:13" ht="15">
      <c r="A25" s="3"/>
      <c r="B25" s="3"/>
      <c r="C25" s="3"/>
      <c r="D25" s="3"/>
      <c r="E25" s="3"/>
      <c r="F25" s="16"/>
      <c r="G25" s="3"/>
      <c r="H25" s="16"/>
      <c r="I25" s="3"/>
      <c r="J25" s="16"/>
      <c r="K25" s="3"/>
      <c r="L25" s="3"/>
      <c r="M25" s="3"/>
    </row>
    <row r="26" spans="1:13" ht="15">
      <c r="A26" s="3" t="s">
        <v>20</v>
      </c>
      <c r="B26" s="3"/>
      <c r="C26" s="3"/>
      <c r="D26" s="5">
        <f>D21*88%</f>
        <v>115641.50399999999</v>
      </c>
      <c r="E26" s="24" t="s">
        <v>51</v>
      </c>
      <c r="F26" s="5">
        <f>D21*91%</f>
        <v>119583.828</v>
      </c>
      <c r="G26" s="24" t="s">
        <v>50</v>
      </c>
      <c r="H26" s="5">
        <f>D21*96%</f>
        <v>126154.36799999999</v>
      </c>
      <c r="I26" s="24" t="s">
        <v>55</v>
      </c>
      <c r="J26" s="5">
        <f>D21*79%</f>
        <v>103814.53199999999</v>
      </c>
      <c r="K26" s="24" t="s">
        <v>58</v>
      </c>
      <c r="L26" s="3"/>
      <c r="M26" s="3"/>
    </row>
    <row r="27" spans="1:13" ht="15">
      <c r="A27" s="7"/>
      <c r="B27" s="3"/>
      <c r="C27" s="3"/>
      <c r="D27" s="3"/>
      <c r="E27" s="24"/>
      <c r="F27" s="3"/>
      <c r="G27" s="24"/>
      <c r="H27" s="5"/>
      <c r="I27" s="24"/>
      <c r="J27" s="3"/>
      <c r="K27" s="24"/>
      <c r="L27" s="3"/>
      <c r="M27" s="3"/>
    </row>
    <row r="28" spans="1:13" ht="15">
      <c r="A28" s="3" t="s">
        <v>21</v>
      </c>
      <c r="B28" s="3"/>
      <c r="C28" s="3"/>
      <c r="D28" s="5">
        <f>D21-D26</f>
        <v>15769.296000000002</v>
      </c>
      <c r="E28" s="24" t="s">
        <v>63</v>
      </c>
      <c r="F28" s="5">
        <f>D21-F26</f>
        <v>11826.971999999994</v>
      </c>
      <c r="G28" s="24" t="s">
        <v>64</v>
      </c>
      <c r="H28" s="5">
        <f>D21-H26</f>
        <v>5256.432000000001</v>
      </c>
      <c r="I28" s="24" t="s">
        <v>65</v>
      </c>
      <c r="J28" s="5">
        <f>D21-J26</f>
        <v>27596.267999999996</v>
      </c>
      <c r="K28" s="24" t="s">
        <v>67</v>
      </c>
      <c r="L28" s="3"/>
      <c r="M28" s="3"/>
    </row>
    <row r="29" spans="1:13" ht="15">
      <c r="A29" s="3"/>
      <c r="B29" s="3"/>
      <c r="C29" s="3"/>
      <c r="D29" s="3"/>
      <c r="E29" s="24"/>
      <c r="F29" s="3"/>
      <c r="G29" s="24"/>
      <c r="H29" s="5"/>
      <c r="I29" s="24"/>
      <c r="J29" s="3"/>
      <c r="K29" s="24"/>
      <c r="L29" s="3"/>
      <c r="M29" s="3"/>
    </row>
    <row r="30" spans="1:13" ht="15">
      <c r="A30" s="3" t="s">
        <v>22</v>
      </c>
      <c r="B30" s="3"/>
      <c r="C30" s="3"/>
      <c r="D30" s="5">
        <f>D21*36.5%</f>
        <v>47964.941999999995</v>
      </c>
      <c r="E30" s="24" t="s">
        <v>52</v>
      </c>
      <c r="F30" s="5">
        <f>D21*36%</f>
        <v>47307.88799999999</v>
      </c>
      <c r="G30" s="24" t="s">
        <v>53</v>
      </c>
      <c r="H30" s="5">
        <f>D21*38.5%</f>
        <v>50593.157999999996</v>
      </c>
      <c r="I30" s="24" t="s">
        <v>56</v>
      </c>
      <c r="J30" s="5">
        <f>D21*30%</f>
        <v>39423.24</v>
      </c>
      <c r="K30" s="24" t="s">
        <v>59</v>
      </c>
      <c r="L30" s="3"/>
      <c r="M30" s="3"/>
    </row>
    <row r="31" spans="1:13" ht="15">
      <c r="A31" s="3"/>
      <c r="B31" s="3"/>
      <c r="C31" s="3"/>
      <c r="D31" s="3"/>
      <c r="E31" s="24"/>
      <c r="F31" s="3"/>
      <c r="G31" s="24"/>
      <c r="H31" s="5"/>
      <c r="I31" s="24"/>
      <c r="J31" s="3"/>
      <c r="K31" s="24"/>
      <c r="L31" s="3"/>
      <c r="M31" s="3"/>
    </row>
    <row r="32" spans="1:13" ht="15">
      <c r="A32" s="3" t="s">
        <v>23</v>
      </c>
      <c r="B32" s="3"/>
      <c r="C32" s="3"/>
      <c r="D32" s="5">
        <f>D21*19%</f>
        <v>24968.052</v>
      </c>
      <c r="E32" s="24" t="s">
        <v>61</v>
      </c>
      <c r="F32" s="5">
        <f>D21*19%</f>
        <v>24968.052</v>
      </c>
      <c r="G32" s="24" t="s">
        <v>61</v>
      </c>
      <c r="H32" s="5">
        <f>D21*19%</f>
        <v>24968.052</v>
      </c>
      <c r="I32" s="24" t="s">
        <v>61</v>
      </c>
      <c r="J32" s="5">
        <f>D21*19%</f>
        <v>24968.052</v>
      </c>
      <c r="K32" s="24" t="s">
        <v>61</v>
      </c>
      <c r="L32" s="3"/>
      <c r="M32" s="3"/>
    </row>
    <row r="33" spans="1:13" ht="15">
      <c r="A33" s="3"/>
      <c r="B33" s="3"/>
      <c r="C33" s="3"/>
      <c r="D33" s="3"/>
      <c r="E33" s="25"/>
      <c r="F33" s="3"/>
      <c r="G33" s="24"/>
      <c r="H33" s="5"/>
      <c r="I33" s="24"/>
      <c r="J33" s="3"/>
      <c r="K33" s="24"/>
      <c r="L33" s="3"/>
      <c r="M33" s="3"/>
    </row>
    <row r="34" spans="1:13" ht="15">
      <c r="A34" s="3" t="s">
        <v>24</v>
      </c>
      <c r="B34" s="3"/>
      <c r="C34" s="3"/>
      <c r="D34" s="3"/>
      <c r="E34" s="25"/>
      <c r="F34" s="3"/>
      <c r="G34" s="24"/>
      <c r="H34" s="5"/>
      <c r="I34" s="24"/>
      <c r="J34" s="3"/>
      <c r="K34" s="24"/>
      <c r="L34" s="3"/>
      <c r="M34" s="3"/>
    </row>
    <row r="35" spans="1:13" ht="15">
      <c r="A35" s="3" t="s">
        <v>48</v>
      </c>
      <c r="B35" s="3"/>
      <c r="C35" s="3"/>
      <c r="D35" s="5">
        <f>D21-D28-D30-D32</f>
        <v>42708.509999999995</v>
      </c>
      <c r="E35" s="24" t="s">
        <v>62</v>
      </c>
      <c r="F35" s="5">
        <f>D21-F28-F30-F32</f>
        <v>47307.888000000006</v>
      </c>
      <c r="G35" s="24" t="s">
        <v>53</v>
      </c>
      <c r="H35" s="5">
        <f>D21-H28-H30-H32</f>
        <v>50593.157999999996</v>
      </c>
      <c r="I35" s="24" t="s">
        <v>66</v>
      </c>
      <c r="J35" s="5">
        <f>D21-J28-J30-J32</f>
        <v>39423.23999999999</v>
      </c>
      <c r="K35" s="24" t="s">
        <v>59</v>
      </c>
      <c r="L35" s="3"/>
      <c r="M35" s="3"/>
    </row>
    <row r="36" spans="1:13" ht="15">
      <c r="A36" s="3"/>
      <c r="B36" s="3"/>
      <c r="C36" s="3"/>
      <c r="D36" s="3"/>
      <c r="E36" s="3"/>
      <c r="F36" s="3"/>
      <c r="G36" s="3"/>
      <c r="I36" s="3"/>
      <c r="J36" s="3"/>
      <c r="K36" s="3"/>
      <c r="L36" s="3"/>
      <c r="M36" s="3"/>
    </row>
    <row r="37" spans="1:1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45">
      <c r="A38" s="17" t="s">
        <v>26</v>
      </c>
      <c r="B38" s="3"/>
      <c r="C38" s="3" t="s">
        <v>27</v>
      </c>
      <c r="D38" s="5">
        <f>D35*50%</f>
        <v>21354.254999999997</v>
      </c>
      <c r="F38" s="5">
        <f>F35*50%</f>
        <v>23653.944000000003</v>
      </c>
      <c r="G38" s="3"/>
      <c r="H38" s="5">
        <f>H35*50%</f>
        <v>25296.578999999998</v>
      </c>
      <c r="I38" s="3"/>
      <c r="J38" s="5">
        <f>J35*50%</f>
        <v>19711.619999999995</v>
      </c>
      <c r="K38" s="3"/>
      <c r="L38" s="3"/>
      <c r="M38" s="3"/>
    </row>
    <row r="39" spans="1:13" ht="15">
      <c r="A39" s="3"/>
      <c r="B39" s="3"/>
      <c r="C39" s="3" t="s">
        <v>28</v>
      </c>
      <c r="D39" s="5">
        <f>D28*50%</f>
        <v>7884.648000000001</v>
      </c>
      <c r="F39" s="5">
        <f>F28*50%</f>
        <v>5913.485999999997</v>
      </c>
      <c r="G39" s="3"/>
      <c r="H39" s="5">
        <f>H28*50%</f>
        <v>2628.2160000000003</v>
      </c>
      <c r="I39" s="3"/>
      <c r="J39" s="5">
        <f>J28*50%</f>
        <v>13798.133999999998</v>
      </c>
      <c r="K39" s="3"/>
      <c r="L39" s="3"/>
      <c r="M39" s="3"/>
    </row>
    <row r="40" spans="1:13" ht="15">
      <c r="A40" s="3"/>
      <c r="B40" s="3"/>
      <c r="C40" s="3" t="s">
        <v>68</v>
      </c>
      <c r="D40" s="5">
        <f>D32/25*5</f>
        <v>4993.6104</v>
      </c>
      <c r="F40" s="5">
        <f>F32/25*5</f>
        <v>4993.6104</v>
      </c>
      <c r="G40" s="3"/>
      <c r="H40" s="5">
        <f>H32/25*5</f>
        <v>4993.6104</v>
      </c>
      <c r="I40" s="3"/>
      <c r="J40" s="5">
        <f>J32/25*5</f>
        <v>4993.6104</v>
      </c>
      <c r="K40" s="3"/>
      <c r="L40" s="3"/>
      <c r="M40" s="3"/>
    </row>
    <row r="41" spans="1:13" ht="15">
      <c r="A41" s="3"/>
      <c r="B41" s="3"/>
      <c r="C41" s="3" t="s">
        <v>29</v>
      </c>
      <c r="D41" s="5">
        <f>2*220*5</f>
        <v>2200</v>
      </c>
      <c r="F41" s="5">
        <v>2200</v>
      </c>
      <c r="G41" s="3"/>
      <c r="H41" s="5">
        <v>2200</v>
      </c>
      <c r="I41" s="3"/>
      <c r="J41" s="5">
        <v>2200</v>
      </c>
      <c r="K41" s="3"/>
      <c r="L41" s="3"/>
      <c r="M41" s="3"/>
    </row>
    <row r="42" spans="1:13" ht="15">
      <c r="A42" s="3"/>
      <c r="B42" s="3"/>
      <c r="C42" s="3" t="s">
        <v>30</v>
      </c>
      <c r="D42" s="5">
        <f>10*0.3*220*5</f>
        <v>3300</v>
      </c>
      <c r="F42" s="5">
        <f>10*0.3*220*5</f>
        <v>3300</v>
      </c>
      <c r="G42" s="3"/>
      <c r="H42" s="5">
        <f>10*0.3*220*5</f>
        <v>3300</v>
      </c>
      <c r="I42" s="3"/>
      <c r="J42" s="5">
        <f>10*0.3*220*5</f>
        <v>3300</v>
      </c>
      <c r="K42" s="3"/>
      <c r="L42" s="5"/>
      <c r="M42" s="3"/>
    </row>
    <row r="43" spans="1:13" ht="15">
      <c r="A43" s="3"/>
      <c r="B43" s="3"/>
      <c r="C43" s="3" t="s">
        <v>69</v>
      </c>
      <c r="D43" s="5">
        <v>40000</v>
      </c>
      <c r="F43" s="5">
        <v>40000</v>
      </c>
      <c r="G43" s="3"/>
      <c r="H43" s="5">
        <v>40000</v>
      </c>
      <c r="I43" s="3"/>
      <c r="J43" s="5">
        <v>40000</v>
      </c>
      <c r="K43" s="3"/>
      <c r="L43" s="3"/>
      <c r="M43" s="3"/>
    </row>
    <row r="44" spans="1:1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>
      <c r="A45" s="3"/>
      <c r="B45" s="3"/>
      <c r="C45" s="3" t="s">
        <v>31</v>
      </c>
      <c r="D45" s="5">
        <f>SUM(D38:D44)</f>
        <v>79732.5134</v>
      </c>
      <c r="E45" s="3"/>
      <c r="F45" s="5">
        <f>SUM(F38:F44)</f>
        <v>80061.0404</v>
      </c>
      <c r="G45" s="3"/>
      <c r="H45" s="5">
        <f>SUM(H38:H44)</f>
        <v>78418.40539999999</v>
      </c>
      <c r="I45" s="3"/>
      <c r="J45" s="5">
        <f>SUM(J38:J44)</f>
        <v>84003.36439999999</v>
      </c>
      <c r="K45" s="3"/>
      <c r="L45" s="3"/>
      <c r="M45" s="3"/>
    </row>
    <row r="46" spans="1:13" ht="15">
      <c r="A46" s="3"/>
      <c r="B46" s="3"/>
      <c r="C46" s="3"/>
      <c r="D46" s="3"/>
      <c r="E46" s="3"/>
      <c r="F46" s="5"/>
      <c r="G46" s="3"/>
      <c r="H46" s="3"/>
      <c r="I46" s="3"/>
      <c r="J46" s="3"/>
      <c r="K46" s="3"/>
      <c r="L46" s="3"/>
      <c r="M46" s="3"/>
    </row>
    <row r="47" spans="1:13" ht="15.75">
      <c r="A47" s="3"/>
      <c r="B47" s="4" t="s">
        <v>32</v>
      </c>
      <c r="C47" s="4"/>
      <c r="D47" s="8">
        <f>D45/5</f>
        <v>15946.50268</v>
      </c>
      <c r="E47" s="4"/>
      <c r="F47" s="8">
        <f>F45/5</f>
        <v>16012.20808</v>
      </c>
      <c r="G47" s="3"/>
      <c r="H47" s="18">
        <f>H45/5</f>
        <v>15683.681079999998</v>
      </c>
      <c r="I47" s="3"/>
      <c r="J47" s="18">
        <f>J45/5</f>
        <v>16800.67288</v>
      </c>
      <c r="K47" s="3"/>
      <c r="L47" s="3"/>
      <c r="M47" s="3"/>
    </row>
    <row r="48" spans="1:13" ht="15.75">
      <c r="A48" s="3"/>
      <c r="B48" s="4"/>
      <c r="C48" s="4"/>
      <c r="D48" s="8"/>
      <c r="E48" s="4"/>
      <c r="F48" s="4"/>
      <c r="G48" s="3"/>
      <c r="H48" s="3"/>
      <c r="I48" s="3"/>
      <c r="J48" s="3"/>
      <c r="K48" s="3"/>
      <c r="L48" s="3"/>
      <c r="M48" s="3"/>
    </row>
    <row r="49" spans="1:13" ht="15.75">
      <c r="A49" s="3"/>
      <c r="B49" s="4"/>
      <c r="C49" s="4"/>
      <c r="D49" s="8"/>
      <c r="E49" s="4"/>
      <c r="F49" s="4"/>
      <c r="G49" s="3"/>
      <c r="H49" s="3"/>
      <c r="I49" s="3"/>
      <c r="J49" s="3"/>
      <c r="K49" s="3"/>
      <c r="L49" s="3"/>
      <c r="M49" s="3"/>
    </row>
    <row r="50" spans="1:1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20.25">
      <c r="B51" s="3"/>
      <c r="C51" s="3"/>
      <c r="D51" s="3"/>
      <c r="E51" s="3"/>
      <c r="F51" s="3"/>
      <c r="G51" s="3"/>
      <c r="H51" s="13"/>
      <c r="I51" s="3"/>
      <c r="J51" s="31" t="s">
        <v>79</v>
      </c>
      <c r="K51" s="3"/>
      <c r="L51" s="3"/>
      <c r="M51" s="3"/>
    </row>
    <row r="52" spans="1:13" ht="15.7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.75">
      <c r="A53" s="4" t="s">
        <v>82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.75">
      <c r="A55" s="3"/>
      <c r="B55" s="3" t="s">
        <v>38</v>
      </c>
      <c r="C55" s="3"/>
      <c r="D55" s="3"/>
      <c r="E55" s="5">
        <f>11863.4*2</f>
        <v>23726.8</v>
      </c>
      <c r="F55" s="3"/>
      <c r="G55" s="4" t="s">
        <v>44</v>
      </c>
      <c r="H55" s="3"/>
      <c r="I55" s="3"/>
      <c r="J55" s="3"/>
      <c r="K55" s="3"/>
      <c r="L55" s="3"/>
      <c r="M55" s="3"/>
    </row>
    <row r="56" spans="1:13" ht="15">
      <c r="A56" s="3"/>
      <c r="B56" s="3" t="s">
        <v>39</v>
      </c>
      <c r="C56" s="3"/>
      <c r="D56" s="3"/>
      <c r="E56" s="5">
        <f>5746.7*9</f>
        <v>51720.299999999996</v>
      </c>
      <c r="F56" s="3"/>
      <c r="G56" s="3" t="s">
        <v>9</v>
      </c>
      <c r="H56" s="3"/>
      <c r="I56" s="3"/>
      <c r="J56" s="3"/>
      <c r="K56" s="3"/>
      <c r="L56" s="3"/>
      <c r="M56" s="3"/>
    </row>
    <row r="57" spans="1:13" ht="15">
      <c r="A57" s="3"/>
      <c r="B57" s="3" t="s">
        <v>40</v>
      </c>
      <c r="C57" s="3"/>
      <c r="D57" s="3"/>
      <c r="E57" s="5">
        <f>4225.36*3.5*4</f>
        <v>59155.03999999999</v>
      </c>
      <c r="F57" s="3"/>
      <c r="G57" s="3" t="s">
        <v>10</v>
      </c>
      <c r="H57" s="3"/>
      <c r="I57" s="3"/>
      <c r="J57" s="3"/>
      <c r="K57" s="3"/>
      <c r="L57" s="3"/>
      <c r="M57" s="3"/>
    </row>
    <row r="58" spans="1:13" ht="15">
      <c r="A58" s="3"/>
      <c r="B58" s="3" t="s">
        <v>41</v>
      </c>
      <c r="C58" s="3"/>
      <c r="D58" s="3"/>
      <c r="E58" s="9"/>
      <c r="F58" s="3"/>
      <c r="G58" s="3"/>
      <c r="H58" s="3"/>
      <c r="I58" s="3"/>
      <c r="J58" s="3"/>
      <c r="K58" s="3"/>
      <c r="L58" s="3"/>
      <c r="M58" s="3"/>
    </row>
    <row r="59" spans="1:13" ht="15">
      <c r="A59" s="3"/>
      <c r="B59" s="3" t="s">
        <v>42</v>
      </c>
      <c r="C59" s="3"/>
      <c r="D59" s="3"/>
      <c r="E59" s="5">
        <f>SUM(E55:E58)</f>
        <v>134602.13999999998</v>
      </c>
      <c r="F59" s="3"/>
      <c r="G59" s="3" t="s">
        <v>11</v>
      </c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 t="s">
        <v>12</v>
      </c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 t="s">
        <v>13</v>
      </c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 t="s">
        <v>14</v>
      </c>
      <c r="H62" s="3"/>
      <c r="I62" s="3"/>
      <c r="J62" s="3"/>
      <c r="K62" s="3"/>
      <c r="L62" s="3"/>
      <c r="M62" s="3"/>
    </row>
    <row r="63" spans="1:13" ht="15">
      <c r="A63" s="3"/>
      <c r="B63" s="3"/>
      <c r="C63" s="3"/>
      <c r="D63" s="3"/>
      <c r="E63" s="3"/>
      <c r="F63" s="3"/>
      <c r="G63" s="3" t="s">
        <v>15</v>
      </c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3"/>
      <c r="B65" s="3"/>
      <c r="C65" s="3"/>
      <c r="D65" s="3"/>
      <c r="E65" s="3"/>
      <c r="F65" s="3"/>
      <c r="G65" s="3" t="s">
        <v>16</v>
      </c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>
      <c r="A67" s="4" t="s">
        <v>83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>
      <c r="A69" s="3" t="s">
        <v>17</v>
      </c>
      <c r="B69" s="3"/>
      <c r="C69" s="3"/>
      <c r="D69" s="18">
        <f>E59</f>
        <v>134602.13999999998</v>
      </c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 t="s">
        <v>18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>
      <c r="A71" s="3" t="s">
        <v>19</v>
      </c>
      <c r="B71" s="3"/>
      <c r="C71" s="3"/>
      <c r="D71" s="56" t="s">
        <v>116</v>
      </c>
      <c r="E71" s="57"/>
      <c r="F71" s="13" t="s">
        <v>49</v>
      </c>
      <c r="G71" s="3"/>
      <c r="H71" s="13" t="s">
        <v>54</v>
      </c>
      <c r="I71" s="3"/>
      <c r="J71" s="13" t="s">
        <v>57</v>
      </c>
      <c r="K71" s="3"/>
      <c r="L71" s="3"/>
      <c r="M71" s="3"/>
    </row>
    <row r="72" spans="1:13" ht="15">
      <c r="A72" s="3" t="s">
        <v>20</v>
      </c>
      <c r="B72" s="3"/>
      <c r="C72" s="3"/>
      <c r="D72" s="3" t="s">
        <v>117</v>
      </c>
      <c r="E72" s="3"/>
      <c r="F72" s="16" t="s">
        <v>113</v>
      </c>
      <c r="G72" s="3"/>
      <c r="H72" s="16" t="s">
        <v>114</v>
      </c>
      <c r="I72" s="3"/>
      <c r="J72" s="16" t="s">
        <v>115</v>
      </c>
      <c r="K72" s="3"/>
      <c r="L72" s="3"/>
      <c r="M72" s="3"/>
    </row>
    <row r="73" spans="1:13" ht="15">
      <c r="A73" s="3"/>
      <c r="B73" s="3"/>
      <c r="C73" s="3"/>
      <c r="D73" s="3"/>
      <c r="E73" s="3"/>
      <c r="F73" s="16"/>
      <c r="G73" s="3"/>
      <c r="H73" s="16"/>
      <c r="I73" s="3"/>
      <c r="J73" s="16"/>
      <c r="K73" s="3"/>
      <c r="L73" s="3"/>
      <c r="M73" s="3"/>
    </row>
    <row r="74" spans="1:13" ht="15">
      <c r="A74" s="7"/>
      <c r="B74" s="3"/>
      <c r="C74" s="3"/>
      <c r="D74" s="5">
        <f>D69*88%</f>
        <v>118449.88319999998</v>
      </c>
      <c r="E74" s="24" t="s">
        <v>51</v>
      </c>
      <c r="F74" s="5">
        <f>D69*91%</f>
        <v>122487.94739999999</v>
      </c>
      <c r="G74" s="24" t="s">
        <v>50</v>
      </c>
      <c r="H74" s="5">
        <f>D69*96%</f>
        <v>129218.05439999998</v>
      </c>
      <c r="I74" s="24" t="s">
        <v>55</v>
      </c>
      <c r="J74" s="5">
        <f>D69*79%</f>
        <v>106335.69059999999</v>
      </c>
      <c r="K74" s="24" t="s">
        <v>58</v>
      </c>
      <c r="L74" s="3"/>
      <c r="M74" s="3"/>
    </row>
    <row r="75" spans="1:13" ht="15">
      <c r="A75" s="3" t="s">
        <v>21</v>
      </c>
      <c r="B75" s="3"/>
      <c r="C75" s="3"/>
      <c r="D75" s="3"/>
      <c r="E75" s="24"/>
      <c r="F75" s="3"/>
      <c r="G75" s="24"/>
      <c r="H75" s="5"/>
      <c r="I75" s="24"/>
      <c r="J75" s="3"/>
      <c r="K75" s="24"/>
      <c r="L75" s="3"/>
      <c r="M75" s="3"/>
    </row>
    <row r="76" spans="1:13" ht="15">
      <c r="A76" s="3"/>
      <c r="B76" s="3"/>
      <c r="C76" s="3"/>
      <c r="D76" s="5">
        <f>D69-D74</f>
        <v>16152.256800000003</v>
      </c>
      <c r="E76" s="24" t="s">
        <v>63</v>
      </c>
      <c r="F76" s="5">
        <f>D69-F74</f>
        <v>12114.192599999995</v>
      </c>
      <c r="G76" s="24" t="s">
        <v>64</v>
      </c>
      <c r="H76" s="5">
        <f>D69-H74</f>
        <v>5384.085600000006</v>
      </c>
      <c r="I76" s="24" t="s">
        <v>65</v>
      </c>
      <c r="J76" s="5">
        <f>D69-J74</f>
        <v>28266.449399999998</v>
      </c>
      <c r="K76" s="24" t="s">
        <v>67</v>
      </c>
      <c r="L76" s="3"/>
      <c r="M76" s="3"/>
    </row>
    <row r="77" spans="1:13" ht="15">
      <c r="A77" s="3" t="s">
        <v>22</v>
      </c>
      <c r="B77" s="3"/>
      <c r="C77" s="3"/>
      <c r="D77" s="3"/>
      <c r="E77" s="24"/>
      <c r="F77" s="3"/>
      <c r="G77" s="24"/>
      <c r="H77" s="5"/>
      <c r="I77" s="24"/>
      <c r="J77" s="3"/>
      <c r="K77" s="24"/>
      <c r="L77" s="3"/>
      <c r="M77" s="3"/>
    </row>
    <row r="78" spans="1:13" ht="15">
      <c r="A78" s="3"/>
      <c r="B78" s="3"/>
      <c r="C78" s="3"/>
      <c r="D78" s="5">
        <f>D69*36.5%</f>
        <v>49129.78109999999</v>
      </c>
      <c r="E78" s="24" t="s">
        <v>52</v>
      </c>
      <c r="F78" s="5">
        <f>D69*36%</f>
        <v>48456.770399999994</v>
      </c>
      <c r="G78" s="24" t="s">
        <v>53</v>
      </c>
      <c r="H78" s="5">
        <f>D69*38.5%</f>
        <v>51821.823899999996</v>
      </c>
      <c r="I78" s="24" t="s">
        <v>56</v>
      </c>
      <c r="J78" s="5">
        <f>D69*30%</f>
        <v>40380.64199999999</v>
      </c>
      <c r="K78" s="24" t="s">
        <v>59</v>
      </c>
      <c r="L78" s="3"/>
      <c r="M78" s="3"/>
    </row>
    <row r="79" spans="1:13" ht="15">
      <c r="A79" s="3" t="s">
        <v>23</v>
      </c>
      <c r="B79" s="3"/>
      <c r="C79" s="3"/>
      <c r="D79" s="3"/>
      <c r="E79" s="24"/>
      <c r="F79" s="3"/>
      <c r="G79" s="24"/>
      <c r="H79" s="5"/>
      <c r="I79" s="24"/>
      <c r="J79" s="3"/>
      <c r="K79" s="24"/>
      <c r="L79" s="3"/>
      <c r="M79" s="3"/>
    </row>
    <row r="80" spans="1:13" ht="15">
      <c r="A80" s="3"/>
      <c r="B80" s="3"/>
      <c r="C80" s="3"/>
      <c r="D80" s="5">
        <f>D69*19%</f>
        <v>25574.4066</v>
      </c>
      <c r="E80" s="24" t="s">
        <v>61</v>
      </c>
      <c r="F80" s="5">
        <f>D69*19%</f>
        <v>25574.4066</v>
      </c>
      <c r="G80" s="24" t="s">
        <v>61</v>
      </c>
      <c r="H80" s="5">
        <f>D69*19%</f>
        <v>25574.4066</v>
      </c>
      <c r="I80" s="24" t="s">
        <v>61</v>
      </c>
      <c r="J80" s="5">
        <f>D69*19%</f>
        <v>25574.4066</v>
      </c>
      <c r="K80" s="24" t="s">
        <v>61</v>
      </c>
      <c r="L80" s="3"/>
      <c r="M80" s="3"/>
    </row>
    <row r="81" spans="1:13" ht="15">
      <c r="A81" s="3" t="s">
        <v>24</v>
      </c>
      <c r="B81" s="3"/>
      <c r="C81" s="3"/>
      <c r="D81" s="3"/>
      <c r="E81" s="25"/>
      <c r="F81" s="3"/>
      <c r="G81" s="24"/>
      <c r="H81" s="5"/>
      <c r="I81" s="24"/>
      <c r="J81" s="3"/>
      <c r="K81" s="24"/>
      <c r="L81" s="3"/>
      <c r="M81" s="3"/>
    </row>
    <row r="82" spans="1:13" ht="15">
      <c r="A82" s="3" t="s">
        <v>25</v>
      </c>
      <c r="B82" s="3"/>
      <c r="C82" s="3"/>
      <c r="D82" s="3"/>
      <c r="E82" s="25"/>
      <c r="F82" s="3"/>
      <c r="G82" s="24"/>
      <c r="H82" s="5"/>
      <c r="I82" s="24"/>
      <c r="J82" s="3"/>
      <c r="K82" s="24"/>
      <c r="L82" s="3"/>
      <c r="M82" s="3"/>
    </row>
    <row r="83" spans="1:13" ht="15">
      <c r="A83" s="3"/>
      <c r="B83" s="3"/>
      <c r="C83" s="3"/>
      <c r="D83" s="5">
        <f>D69-D76-D78-D80</f>
        <v>43745.69549999999</v>
      </c>
      <c r="E83" s="24" t="s">
        <v>62</v>
      </c>
      <c r="F83" s="5">
        <f>D69-F76-F78-F80</f>
        <v>48456.770399999994</v>
      </c>
      <c r="G83" s="24" t="s">
        <v>53</v>
      </c>
      <c r="H83" s="5">
        <f>D69-H76-H78-H80</f>
        <v>51821.823899999974</v>
      </c>
      <c r="I83" s="24" t="s">
        <v>66</v>
      </c>
      <c r="J83" s="5">
        <f>D69-J76-J78-J80</f>
        <v>40380.64199999999</v>
      </c>
      <c r="K83" s="24" t="s">
        <v>59</v>
      </c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45">
      <c r="A85" s="17" t="s">
        <v>26</v>
      </c>
      <c r="B85" s="3"/>
      <c r="C85" s="3" t="s">
        <v>27</v>
      </c>
      <c r="D85" s="5">
        <f>D83*50%</f>
        <v>21872.847749999994</v>
      </c>
      <c r="F85" s="5">
        <f>F83*50%</f>
        <v>24228.385199999997</v>
      </c>
      <c r="G85" s="3"/>
      <c r="H85" s="5">
        <f>H83*50%</f>
        <v>25910.911949999987</v>
      </c>
      <c r="I85" s="3"/>
      <c r="J85" s="5">
        <f>J83*50%</f>
        <v>20190.320999999996</v>
      </c>
      <c r="K85" s="3"/>
      <c r="L85" s="3"/>
      <c r="M85" s="3"/>
    </row>
    <row r="86" spans="1:13" ht="15">
      <c r="A86" s="3"/>
      <c r="B86" s="3"/>
      <c r="C86" s="3" t="s">
        <v>28</v>
      </c>
      <c r="D86" s="5">
        <f>D76*50%</f>
        <v>8076.128400000001</v>
      </c>
      <c r="F86" s="5">
        <f>F76*50%</f>
        <v>6057.096299999997</v>
      </c>
      <c r="G86" s="3"/>
      <c r="H86" s="5">
        <f>H76*50%</f>
        <v>2692.042800000003</v>
      </c>
      <c r="I86" s="3"/>
      <c r="J86" s="5">
        <f>J76*50%</f>
        <v>14133.224699999999</v>
      </c>
      <c r="K86" s="3"/>
      <c r="L86" s="3"/>
      <c r="M86" s="3"/>
    </row>
    <row r="87" spans="1:13" ht="15">
      <c r="A87" s="3"/>
      <c r="B87" s="3"/>
      <c r="C87" s="3" t="s">
        <v>68</v>
      </c>
      <c r="D87" s="5">
        <f>D80/25*4</f>
        <v>4091.9050559999996</v>
      </c>
      <c r="F87" s="5">
        <f>F80/25*4</f>
        <v>4091.9050559999996</v>
      </c>
      <c r="G87" s="3"/>
      <c r="H87" s="5">
        <f>H80/25*4</f>
        <v>4091.9050559999996</v>
      </c>
      <c r="I87" s="3"/>
      <c r="J87" s="5">
        <f>J80/25*4</f>
        <v>4091.9050559999996</v>
      </c>
      <c r="K87" s="3"/>
      <c r="L87" s="3"/>
      <c r="M87" s="3"/>
    </row>
    <row r="88" spans="1:13" ht="15">
      <c r="A88" s="3"/>
      <c r="B88" s="3"/>
      <c r="C88" s="3" t="s">
        <v>29</v>
      </c>
      <c r="D88" s="5">
        <f>2*220*4</f>
        <v>1760</v>
      </c>
      <c r="E88" s="5"/>
      <c r="F88" s="5">
        <f>2*220*4</f>
        <v>1760</v>
      </c>
      <c r="G88" s="5"/>
      <c r="H88" s="5">
        <f>2*220*4</f>
        <v>1760</v>
      </c>
      <c r="I88" s="5"/>
      <c r="J88" s="5">
        <f>2*220*4</f>
        <v>1760</v>
      </c>
      <c r="K88" s="3"/>
      <c r="L88" s="3"/>
      <c r="M88" s="3"/>
    </row>
    <row r="89" spans="1:13" ht="15">
      <c r="A89" s="3"/>
      <c r="B89" s="3"/>
      <c r="C89" s="3" t="s">
        <v>30</v>
      </c>
      <c r="D89" s="5">
        <f>10*0.3*220*4</f>
        <v>2640</v>
      </c>
      <c r="E89" s="5"/>
      <c r="F89" s="5">
        <f>10*0.3*220*4</f>
        <v>2640</v>
      </c>
      <c r="G89" s="5"/>
      <c r="H89" s="5">
        <f>10*0.3*220*4</f>
        <v>2640</v>
      </c>
      <c r="I89" s="5"/>
      <c r="J89" s="5">
        <f>10*0.3*220*4</f>
        <v>2640</v>
      </c>
      <c r="K89" s="3"/>
      <c r="L89" s="3"/>
      <c r="M89" s="3"/>
    </row>
    <row r="90" spans="1:13" ht="15">
      <c r="A90" s="3"/>
      <c r="B90" s="3"/>
      <c r="C90" s="3" t="s">
        <v>69</v>
      </c>
      <c r="D90" s="5">
        <v>40000</v>
      </c>
      <c r="E90" s="5"/>
      <c r="F90" s="5">
        <v>40000</v>
      </c>
      <c r="G90" s="5"/>
      <c r="H90" s="5">
        <v>40000</v>
      </c>
      <c r="I90" s="5"/>
      <c r="J90" s="5">
        <v>40000</v>
      </c>
      <c r="K90" s="3"/>
      <c r="L90" s="3"/>
      <c r="M90" s="3"/>
    </row>
    <row r="91" spans="1:13" ht="15">
      <c r="A91" s="3"/>
      <c r="B91" s="3"/>
      <c r="C91" s="3"/>
      <c r="D91" s="5"/>
      <c r="E91" s="5"/>
      <c r="F91" s="5"/>
      <c r="G91" s="5"/>
      <c r="H91" s="5"/>
      <c r="I91" s="5"/>
      <c r="J91" s="5"/>
      <c r="K91" s="3"/>
      <c r="L91" s="3"/>
      <c r="M91" s="3"/>
    </row>
    <row r="92" spans="1:13" ht="15">
      <c r="A92" s="3"/>
      <c r="B92" s="3"/>
      <c r="C92" s="3" t="s">
        <v>31</v>
      </c>
      <c r="D92" s="5">
        <f>SUM(D85:D91)</f>
        <v>78440.88120599999</v>
      </c>
      <c r="E92" s="3"/>
      <c r="F92" s="5">
        <f>SUM(F85:F91)</f>
        <v>78777.386556</v>
      </c>
      <c r="G92" s="3"/>
      <c r="H92" s="5">
        <f>SUM(H85:H91)</f>
        <v>77094.859806</v>
      </c>
      <c r="I92" s="3"/>
      <c r="J92" s="5">
        <f>SUM(J85:J91)</f>
        <v>82815.45075599999</v>
      </c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.75">
      <c r="A94" s="3"/>
      <c r="B94" s="4" t="s">
        <v>32</v>
      </c>
      <c r="C94" s="4"/>
      <c r="D94" s="8">
        <f>D92/5</f>
        <v>15688.176241199999</v>
      </c>
      <c r="E94" s="3"/>
      <c r="F94" s="8">
        <f>F92/5</f>
        <v>15755.4773112</v>
      </c>
      <c r="G94" s="3"/>
      <c r="H94" s="8">
        <f>H92/5</f>
        <v>15418.971961199999</v>
      </c>
      <c r="I94" s="3"/>
      <c r="J94" s="8">
        <f>J92/5</f>
        <v>16563.0901512</v>
      </c>
      <c r="K94" s="3"/>
      <c r="L94" s="3"/>
      <c r="M94" s="3"/>
    </row>
    <row r="96" spans="1:5" ht="18">
      <c r="A96" s="19" t="s">
        <v>60</v>
      </c>
      <c r="B96" s="20"/>
      <c r="C96" s="20"/>
      <c r="D96" s="20"/>
      <c r="E96" s="21">
        <v>15970</v>
      </c>
    </row>
    <row r="101" ht="12.75">
      <c r="F101" t="s">
        <v>18</v>
      </c>
    </row>
  </sheetData>
  <mergeCells count="2">
    <mergeCell ref="D71:E71"/>
    <mergeCell ref="D23:E23"/>
  </mergeCells>
  <printOptions/>
  <pageMargins left="0.75" right="0.75" top="1" bottom="1" header="0.4921259845" footer="0.4921259845"/>
  <pageSetup orientation="landscape" paperSize="9" scale="56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view="pageBreakPreview" zoomScale="60" workbookViewId="0" topLeftCell="A7">
      <selection activeCell="M2" sqref="M2"/>
    </sheetView>
  </sheetViews>
  <sheetFormatPr defaultColWidth="11.421875" defaultRowHeight="12.75"/>
  <cols>
    <col min="2" max="2" width="21.57421875" style="0" customWidth="1"/>
    <col min="3" max="3" width="22.00390625" style="0" customWidth="1"/>
    <col min="4" max="4" width="15.140625" style="0" bestFit="1" customWidth="1"/>
    <col min="5" max="5" width="14.8515625" style="0" bestFit="1" customWidth="1"/>
    <col min="6" max="6" width="14.7109375" style="0" customWidth="1"/>
    <col min="7" max="7" width="22.140625" style="0" customWidth="1"/>
    <col min="8" max="8" width="24.7109375" style="0" customWidth="1"/>
  </cols>
  <sheetData>
    <row r="2" ht="20.25">
      <c r="M2" s="31" t="s">
        <v>107</v>
      </c>
    </row>
    <row r="3" spans="1:9" ht="20.25">
      <c r="A3" s="31" t="s">
        <v>122</v>
      </c>
      <c r="B3" s="31"/>
      <c r="C3" s="31"/>
      <c r="D3" s="31"/>
      <c r="E3" s="31"/>
      <c r="F3" s="27"/>
      <c r="G3" s="12"/>
      <c r="H3" s="12"/>
      <c r="I3" s="12"/>
    </row>
    <row r="4" spans="1:9" ht="18">
      <c r="A4" s="12"/>
      <c r="B4" s="12"/>
      <c r="C4" s="12"/>
      <c r="D4" s="12"/>
      <c r="E4" s="12"/>
      <c r="F4" s="12"/>
      <c r="G4" s="12"/>
      <c r="H4" s="12"/>
      <c r="I4" s="12"/>
    </row>
    <row r="5" spans="1:9" ht="18">
      <c r="A5" s="32" t="s">
        <v>45</v>
      </c>
      <c r="B5" s="28"/>
      <c r="C5" s="33" t="s">
        <v>120</v>
      </c>
      <c r="D5" s="12"/>
      <c r="E5" s="12"/>
      <c r="F5" s="12"/>
      <c r="G5" s="12"/>
      <c r="H5" s="12"/>
      <c r="I5" s="12"/>
    </row>
    <row r="6" spans="1:9" ht="18">
      <c r="A6" s="12"/>
      <c r="B6" s="12"/>
      <c r="C6" s="12"/>
      <c r="D6" s="12"/>
      <c r="E6" s="12"/>
      <c r="F6" s="12"/>
      <c r="G6" s="12"/>
      <c r="H6" s="12"/>
      <c r="I6" s="12"/>
    </row>
    <row r="7" spans="1:9" ht="18">
      <c r="A7" s="12" t="s">
        <v>46</v>
      </c>
      <c r="B7" s="12"/>
      <c r="C7" s="12"/>
      <c r="D7" s="12"/>
      <c r="E7" s="12"/>
      <c r="F7" s="12"/>
      <c r="G7" s="12"/>
      <c r="H7" s="12" t="s">
        <v>47</v>
      </c>
      <c r="I7" s="12"/>
    </row>
    <row r="8" spans="1:9" ht="18">
      <c r="A8" s="12"/>
      <c r="B8" s="12"/>
      <c r="C8" s="12"/>
      <c r="D8" s="12"/>
      <c r="E8" s="12"/>
      <c r="F8" s="12"/>
      <c r="G8" s="12"/>
      <c r="H8" s="12"/>
      <c r="I8" s="12"/>
    </row>
    <row r="9" spans="1:9" ht="18">
      <c r="A9" s="12" t="s">
        <v>84</v>
      </c>
      <c r="B9" s="12"/>
      <c r="C9" s="12"/>
      <c r="D9" s="12"/>
      <c r="E9" s="12" t="s">
        <v>70</v>
      </c>
      <c r="F9" s="12"/>
      <c r="G9" s="29">
        <f>15970/12*5*200</f>
        <v>1330833.3333333333</v>
      </c>
      <c r="H9" s="30">
        <f>G9</f>
        <v>1330833.3333333333</v>
      </c>
      <c r="I9" s="12"/>
    </row>
    <row r="10" spans="1:9" ht="18">
      <c r="A10" s="12"/>
      <c r="B10" s="12"/>
      <c r="C10" s="12"/>
      <c r="D10" s="12"/>
      <c r="E10" s="12"/>
      <c r="F10" s="12"/>
      <c r="G10" s="29"/>
      <c r="H10" s="29"/>
      <c r="I10" s="12"/>
    </row>
    <row r="11" spans="1:9" ht="18">
      <c r="A11" s="12" t="s">
        <v>85</v>
      </c>
      <c r="B11" s="12"/>
      <c r="C11" s="12"/>
      <c r="D11" s="12"/>
      <c r="E11" s="12" t="s">
        <v>71</v>
      </c>
      <c r="F11" s="12"/>
      <c r="G11" s="29">
        <f>15970*200</f>
        <v>3194000</v>
      </c>
      <c r="H11" s="29"/>
      <c r="I11" s="12"/>
    </row>
    <row r="12" spans="1:9" ht="18">
      <c r="A12" s="12" t="s">
        <v>86</v>
      </c>
      <c r="B12" s="12"/>
      <c r="C12" s="12"/>
      <c r="D12" s="12"/>
      <c r="E12" s="12" t="s">
        <v>70</v>
      </c>
      <c r="F12" s="12"/>
      <c r="G12" s="29">
        <f>15970/12*5*200</f>
        <v>1330833.3333333333</v>
      </c>
      <c r="H12" s="30">
        <f>SUM(G11:G12)</f>
        <v>4524833.333333333</v>
      </c>
      <c r="I12" s="12"/>
    </row>
    <row r="13" spans="1:9" ht="18">
      <c r="A13" s="12"/>
      <c r="B13" s="12"/>
      <c r="C13" s="12"/>
      <c r="D13" s="12"/>
      <c r="E13" s="12"/>
      <c r="F13" s="12"/>
      <c r="G13" s="29"/>
      <c r="H13" s="29"/>
      <c r="I13" s="12"/>
    </row>
    <row r="14" spans="1:9" ht="18">
      <c r="A14" s="12" t="s">
        <v>87</v>
      </c>
      <c r="B14" s="12"/>
      <c r="C14" s="12"/>
      <c r="D14" s="12"/>
      <c r="E14" s="12" t="s">
        <v>72</v>
      </c>
      <c r="F14" s="12"/>
      <c r="G14" s="29">
        <f>15970*400</f>
        <v>6388000</v>
      </c>
      <c r="H14" s="29"/>
      <c r="I14" s="12"/>
    </row>
    <row r="15" spans="1:9" ht="18">
      <c r="A15" s="12" t="s">
        <v>88</v>
      </c>
      <c r="B15" s="12"/>
      <c r="C15" s="12"/>
      <c r="D15" s="12"/>
      <c r="E15" s="12" t="s">
        <v>73</v>
      </c>
      <c r="F15" s="12"/>
      <c r="G15" s="29">
        <f>15970/12*5*100</f>
        <v>665416.6666666666</v>
      </c>
      <c r="H15" s="30">
        <f>SUM(G14:G15)</f>
        <v>7053416.666666667</v>
      </c>
      <c r="I15" s="12"/>
    </row>
    <row r="16" spans="4:8" ht="12.75">
      <c r="D16" s="26"/>
      <c r="G16" s="14"/>
      <c r="H16" s="16"/>
    </row>
    <row r="17" spans="1:8" ht="18">
      <c r="A17" s="54" t="s">
        <v>118</v>
      </c>
      <c r="E17" s="12" t="s">
        <v>119</v>
      </c>
      <c r="G17" s="29">
        <f>15970/12*7*500</f>
        <v>4657916.666666666</v>
      </c>
      <c r="H17" s="30">
        <f>SUM(G17)</f>
        <v>4657916.666666666</v>
      </c>
    </row>
    <row r="19" spans="2:4" ht="12.75">
      <c r="B19" s="15"/>
      <c r="C19" s="15"/>
      <c r="D19" s="15"/>
    </row>
    <row r="20" spans="2:4" ht="12.75">
      <c r="B20" s="15"/>
      <c r="C20" s="15"/>
      <c r="D20" s="15"/>
    </row>
    <row r="21" spans="2:5" ht="12.75">
      <c r="B21" s="15"/>
      <c r="C21" s="15"/>
      <c r="D21" s="15"/>
      <c r="E21" s="23"/>
    </row>
    <row r="22" spans="1:5" ht="12.75">
      <c r="A22" s="22"/>
      <c r="B22" s="15"/>
      <c r="C22" s="15"/>
      <c r="D22" s="15"/>
      <c r="E22" s="23"/>
    </row>
    <row r="23" spans="1:5" ht="12.75">
      <c r="A23" s="22"/>
      <c r="B23" s="15"/>
      <c r="C23" s="15"/>
      <c r="D23" s="15"/>
      <c r="E23" s="23"/>
    </row>
    <row r="24" spans="1:4" ht="12.75">
      <c r="A24" s="22"/>
      <c r="B24" s="15"/>
      <c r="C24" s="15"/>
      <c r="D24" s="15"/>
    </row>
    <row r="25" spans="2:4" ht="12.75">
      <c r="B25" s="15"/>
      <c r="D25" s="15"/>
    </row>
    <row r="26" spans="2:4" ht="12.75">
      <c r="B26" s="15"/>
      <c r="D26" s="15"/>
    </row>
    <row r="27" spans="2:4" ht="12.75">
      <c r="B27" s="15"/>
      <c r="C27" s="15"/>
      <c r="D27" s="15"/>
    </row>
    <row r="29" spans="2:3" ht="12.75">
      <c r="B29" t="s">
        <v>74</v>
      </c>
      <c r="C29">
        <v>0.99</v>
      </c>
    </row>
    <row r="30" spans="2:3" ht="12.75">
      <c r="B30" t="s">
        <v>75</v>
      </c>
      <c r="C30">
        <v>1.33</v>
      </c>
    </row>
    <row r="31" spans="2:3" ht="12.75">
      <c r="B31" t="s">
        <v>76</v>
      </c>
      <c r="C31">
        <v>4.52</v>
      </c>
    </row>
    <row r="32" spans="2:3" ht="12.75">
      <c r="B32" t="s">
        <v>77</v>
      </c>
      <c r="C32">
        <v>7.05</v>
      </c>
    </row>
    <row r="33" spans="2:3" ht="12.75">
      <c r="B33" t="s">
        <v>121</v>
      </c>
      <c r="C33">
        <v>4.65</v>
      </c>
    </row>
  </sheetData>
  <printOptions/>
  <pageMargins left="0.75" right="0.75" top="1" bottom="1" header="0.4921259845" footer="0.4921259845"/>
  <pageSetup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5"/>
  <sheetViews>
    <sheetView view="pageBreakPreview" zoomScale="60" workbookViewId="0" topLeftCell="A1">
      <selection activeCell="H33" sqref="H33"/>
    </sheetView>
  </sheetViews>
  <sheetFormatPr defaultColWidth="11.421875" defaultRowHeight="12.75"/>
  <cols>
    <col min="3" max="3" width="13.8515625" style="0" bestFit="1" customWidth="1"/>
    <col min="4" max="4" width="19.8515625" style="0" customWidth="1"/>
    <col min="5" max="5" width="15.7109375" style="0" bestFit="1" customWidth="1"/>
    <col min="6" max="6" width="15.57421875" style="0" customWidth="1"/>
    <col min="7" max="7" width="17.7109375" style="0" customWidth="1"/>
    <col min="8" max="8" width="18.00390625" style="0" customWidth="1"/>
  </cols>
  <sheetData>
    <row r="2" ht="20.25">
      <c r="G2" s="31" t="s">
        <v>89</v>
      </c>
    </row>
    <row r="4" spans="1:6" ht="18">
      <c r="A4" s="27" t="s">
        <v>90</v>
      </c>
      <c r="C4" s="34"/>
      <c r="D4" s="34"/>
      <c r="E4" s="34"/>
      <c r="F4" s="35"/>
    </row>
    <row r="5" spans="1:6" ht="18">
      <c r="A5" s="27"/>
      <c r="C5" s="34"/>
      <c r="D5" s="34"/>
      <c r="E5" s="34"/>
      <c r="F5" s="35"/>
    </row>
    <row r="6" spans="1:8" ht="15.75">
      <c r="A6" s="36" t="s">
        <v>91</v>
      </c>
      <c r="B6" s="37"/>
      <c r="C6" s="37"/>
      <c r="D6" s="37"/>
      <c r="E6" s="38">
        <f>25*3165.24</f>
        <v>79131</v>
      </c>
      <c r="F6" s="37" t="s">
        <v>109</v>
      </c>
      <c r="G6" s="39"/>
      <c r="H6" s="36"/>
    </row>
    <row r="7" spans="1:6" ht="18">
      <c r="A7" s="27"/>
      <c r="C7" s="34"/>
      <c r="D7" s="34"/>
      <c r="E7" s="34"/>
      <c r="F7" s="35"/>
    </row>
    <row r="8" spans="1:6" ht="15.75">
      <c r="A8" s="13" t="s">
        <v>92</v>
      </c>
      <c r="C8" s="34"/>
      <c r="D8" s="34"/>
      <c r="E8" s="34"/>
      <c r="F8" s="35"/>
    </row>
    <row r="9" spans="1:6" ht="15.75">
      <c r="A9" s="13"/>
      <c r="C9" s="34"/>
      <c r="D9" s="34"/>
      <c r="E9" s="34"/>
      <c r="F9" s="35"/>
    </row>
    <row r="10" spans="1:3" ht="15.75">
      <c r="A10" s="40" t="s">
        <v>93</v>
      </c>
      <c r="B10" s="41"/>
      <c r="C10" s="42"/>
    </row>
    <row r="11" spans="1:2" ht="15">
      <c r="A11" s="43"/>
      <c r="B11" s="43"/>
    </row>
    <row r="13" spans="3:8" ht="38.25">
      <c r="C13" s="44" t="s">
        <v>108</v>
      </c>
      <c r="D13" s="45" t="s">
        <v>95</v>
      </c>
      <c r="E13" s="44" t="s">
        <v>31</v>
      </c>
      <c r="F13" s="45" t="s">
        <v>96</v>
      </c>
      <c r="G13" s="45" t="s">
        <v>97</v>
      </c>
      <c r="H13" s="45" t="s">
        <v>98</v>
      </c>
    </row>
    <row r="14" spans="2:8" ht="12.75">
      <c r="B14" s="46" t="s">
        <v>99</v>
      </c>
      <c r="C14" s="47">
        <f>3165.24*23</f>
        <v>72800.51999999999</v>
      </c>
      <c r="D14" s="47">
        <f>3.5*4225.36</f>
        <v>14788.759999999998</v>
      </c>
      <c r="E14" s="47">
        <f>SUM(C14:D14)</f>
        <v>87589.27999999998</v>
      </c>
      <c r="F14" s="47">
        <f>E14-E6</f>
        <v>8458.279999999984</v>
      </c>
      <c r="G14" s="47">
        <v>7978</v>
      </c>
      <c r="H14" s="47">
        <f>IF(F14&gt;G14,0,G14-F14)</f>
        <v>0</v>
      </c>
    </row>
    <row r="15" spans="2:8" ht="12.75">
      <c r="B15" s="46" t="s">
        <v>100</v>
      </c>
      <c r="C15" s="47">
        <f>3165.24*22</f>
        <v>69635.28</v>
      </c>
      <c r="D15" s="47">
        <f>3.5*4225.36</f>
        <v>14788.759999999998</v>
      </c>
      <c r="E15" s="47">
        <f>SUM(C15:D15)</f>
        <v>84424.04</v>
      </c>
      <c r="F15" s="47">
        <f>E15-E6</f>
        <v>5293.039999999994</v>
      </c>
      <c r="G15" s="47">
        <v>7978</v>
      </c>
      <c r="H15" s="47">
        <f>IF(F15&gt;G15,0,G15-F15)</f>
        <v>2684.9600000000064</v>
      </c>
    </row>
    <row r="16" spans="2:8" ht="12.75">
      <c r="B16" s="46" t="s">
        <v>101</v>
      </c>
      <c r="C16" s="47">
        <f>3165.24*21</f>
        <v>66470.04</v>
      </c>
      <c r="D16" s="47">
        <f>3.5*4225.36</f>
        <v>14788.759999999998</v>
      </c>
      <c r="E16" s="47">
        <f>SUM(C16:D16)</f>
        <v>81258.79999999999</v>
      </c>
      <c r="F16" s="47">
        <f>E16-E6</f>
        <v>2127.7999999999884</v>
      </c>
      <c r="G16" s="47">
        <v>7978</v>
      </c>
      <c r="H16" s="47">
        <f>IF(F16&gt;G16,0,G16-F16)</f>
        <v>5850.200000000012</v>
      </c>
    </row>
    <row r="17" spans="3:8" ht="12.75">
      <c r="C17" s="14"/>
      <c r="D17" s="14"/>
      <c r="E17" s="14"/>
      <c r="F17" s="14"/>
      <c r="G17" s="14"/>
      <c r="H17" s="14"/>
    </row>
    <row r="18" spans="3:8" ht="12.75">
      <c r="C18" s="14"/>
      <c r="D18" s="14"/>
      <c r="E18" s="14"/>
      <c r="F18" s="14"/>
      <c r="G18" s="14"/>
      <c r="H18" s="14"/>
    </row>
    <row r="19" spans="1:8" ht="15.75">
      <c r="A19" s="40" t="s">
        <v>102</v>
      </c>
      <c r="B19" s="42"/>
      <c r="C19" s="48"/>
      <c r="D19" s="14"/>
      <c r="E19" s="14"/>
      <c r="F19" s="14"/>
      <c r="G19" s="14"/>
      <c r="H19" s="14"/>
    </row>
    <row r="20" spans="1:8" ht="15.75">
      <c r="A20" s="49"/>
      <c r="B20" s="50"/>
      <c r="C20" s="51"/>
      <c r="D20" s="14"/>
      <c r="E20" s="14"/>
      <c r="F20" s="14"/>
      <c r="G20" s="14"/>
      <c r="H20" s="14"/>
    </row>
    <row r="21" spans="1:8" ht="12.75">
      <c r="A21" s="16"/>
      <c r="C21" s="14"/>
      <c r="D21" s="14"/>
      <c r="E21" s="14"/>
      <c r="F21" s="14"/>
      <c r="G21" s="14"/>
      <c r="H21" s="14"/>
    </row>
    <row r="22" spans="3:8" ht="38.25">
      <c r="C22" s="44" t="s">
        <v>108</v>
      </c>
      <c r="D22" s="45" t="s">
        <v>95</v>
      </c>
      <c r="E22" s="44" t="s">
        <v>31</v>
      </c>
      <c r="F22" s="45" t="s">
        <v>96</v>
      </c>
      <c r="G22" s="45" t="s">
        <v>97</v>
      </c>
      <c r="H22" s="45" t="s">
        <v>98</v>
      </c>
    </row>
    <row r="23" spans="2:8" ht="12.75">
      <c r="B23" s="46" t="s">
        <v>100</v>
      </c>
      <c r="C23" s="47">
        <f>3165.24*22</f>
        <v>69635.28</v>
      </c>
      <c r="D23" s="47">
        <f>4225.36*7</f>
        <v>29577.519999999997</v>
      </c>
      <c r="E23" s="47">
        <f>SUM(C23:D23)</f>
        <v>99212.79999999999</v>
      </c>
      <c r="F23" s="47">
        <f>E23-E6</f>
        <v>20081.79999999999</v>
      </c>
      <c r="G23" s="47">
        <f>7978*2</f>
        <v>15956</v>
      </c>
      <c r="H23" s="47">
        <f>IF(F23&gt;G23,0,G23-F23)</f>
        <v>0</v>
      </c>
    </row>
    <row r="24" spans="2:8" ht="12.75">
      <c r="B24" s="46" t="s">
        <v>101</v>
      </c>
      <c r="C24" s="47">
        <f>3165.24*21</f>
        <v>66470.04</v>
      </c>
      <c r="D24" s="47">
        <f>4225.36*7</f>
        <v>29577.519999999997</v>
      </c>
      <c r="E24" s="47">
        <f>SUM(C24:D24)</f>
        <v>96047.56</v>
      </c>
      <c r="F24" s="47">
        <f>E24-E6</f>
        <v>16916.559999999998</v>
      </c>
      <c r="G24" s="47">
        <f>7978*2</f>
        <v>15956</v>
      </c>
      <c r="H24" s="47">
        <f>IF(F24&gt;G24,0,G24-F24)</f>
        <v>0</v>
      </c>
    </row>
    <row r="25" spans="2:8" ht="12.75">
      <c r="B25" s="46" t="s">
        <v>103</v>
      </c>
      <c r="C25" s="47">
        <f>3165.24*20</f>
        <v>63304.799999999996</v>
      </c>
      <c r="D25" s="47">
        <f>4225.36*7</f>
        <v>29577.519999999997</v>
      </c>
      <c r="E25" s="47">
        <f>SUM(C25:D25)</f>
        <v>92882.31999999999</v>
      </c>
      <c r="F25" s="47">
        <f>E25-E6</f>
        <v>13751.319999999992</v>
      </c>
      <c r="G25" s="47">
        <f>7978*2</f>
        <v>15956</v>
      </c>
      <c r="H25" s="47">
        <f>IF(F25&gt;G25,0,G25-F25)</f>
        <v>2204.6800000000076</v>
      </c>
    </row>
    <row r="26" spans="2:8" ht="12.75">
      <c r="B26" s="46" t="s">
        <v>104</v>
      </c>
      <c r="C26" s="47">
        <f>3165.24*19</f>
        <v>60139.56</v>
      </c>
      <c r="D26" s="47">
        <f>4225.36*7</f>
        <v>29577.519999999997</v>
      </c>
      <c r="E26" s="47">
        <f>SUM(C26:D26)</f>
        <v>89717.07999999999</v>
      </c>
      <c r="F26" s="47">
        <f>E26-E6</f>
        <v>10586.079999999987</v>
      </c>
      <c r="G26" s="47">
        <f>7978*2</f>
        <v>15956</v>
      </c>
      <c r="H26" s="47">
        <f>IF(F26&gt;G26,0,G26-F26)</f>
        <v>5369.920000000013</v>
      </c>
    </row>
    <row r="27" spans="1:6" ht="18">
      <c r="A27" s="27"/>
      <c r="C27" s="34"/>
      <c r="D27" s="34"/>
      <c r="E27" s="34"/>
      <c r="F27" s="35"/>
    </row>
    <row r="28" spans="3:7" ht="20.25">
      <c r="C28" s="34"/>
      <c r="D28" s="34"/>
      <c r="E28" s="34"/>
      <c r="F28" s="35"/>
      <c r="G28" s="55" t="s">
        <v>105</v>
      </c>
    </row>
    <row r="30" spans="1:8" ht="15.75">
      <c r="A30" s="36" t="s">
        <v>106</v>
      </c>
      <c r="B30" s="37"/>
      <c r="C30" s="37"/>
      <c r="D30" s="37"/>
      <c r="E30" s="38">
        <f>25*4225.36</f>
        <v>105633.99999999999</v>
      </c>
      <c r="F30" s="37" t="s">
        <v>110</v>
      </c>
      <c r="G30" s="39"/>
      <c r="H30" s="36"/>
    </row>
    <row r="31" ht="12.75">
      <c r="E31" s="14"/>
    </row>
    <row r="32" spans="1:5" ht="15.75">
      <c r="A32" s="13" t="s">
        <v>92</v>
      </c>
      <c r="B32" s="13"/>
      <c r="C32" s="13"/>
      <c r="E32" s="14"/>
    </row>
    <row r="34" spans="1:3" ht="15.75">
      <c r="A34" s="40" t="s">
        <v>93</v>
      </c>
      <c r="B34" s="41"/>
      <c r="C34" s="42"/>
    </row>
    <row r="35" spans="1:2" ht="15">
      <c r="A35" s="43"/>
      <c r="B35" s="43"/>
    </row>
    <row r="37" spans="3:8" ht="38.25">
      <c r="C37" s="44" t="s">
        <v>94</v>
      </c>
      <c r="D37" s="45" t="s">
        <v>95</v>
      </c>
      <c r="E37" s="44" t="s">
        <v>31</v>
      </c>
      <c r="F37" s="45" t="s">
        <v>96</v>
      </c>
      <c r="G37" s="45" t="s">
        <v>97</v>
      </c>
      <c r="H37" s="45" t="s">
        <v>98</v>
      </c>
    </row>
    <row r="38" spans="2:8" ht="12.75">
      <c r="B38" s="46" t="s">
        <v>99</v>
      </c>
      <c r="C38" s="47">
        <f>4225.36*23</f>
        <v>97183.28</v>
      </c>
      <c r="D38" s="47">
        <f>3.5*4225.36</f>
        <v>14788.759999999998</v>
      </c>
      <c r="E38" s="47">
        <f>SUM(C38:D38)</f>
        <v>111972.04</v>
      </c>
      <c r="F38" s="47">
        <f>E38-E30</f>
        <v>6338.040000000008</v>
      </c>
      <c r="G38" s="47">
        <v>7978</v>
      </c>
      <c r="H38" s="47">
        <f>IF(F38&gt;G38,0,G38-F38)</f>
        <v>1639.9599999999919</v>
      </c>
    </row>
    <row r="39" spans="2:8" ht="12.75">
      <c r="B39" s="46" t="s">
        <v>100</v>
      </c>
      <c r="C39" s="47">
        <f>4225.36*22</f>
        <v>92957.92</v>
      </c>
      <c r="D39" s="47">
        <f>3.5*4225.36</f>
        <v>14788.759999999998</v>
      </c>
      <c r="E39" s="47">
        <f aca="true" t="shared" si="0" ref="E39:E50">SUM(C39:D39)</f>
        <v>107746.68</v>
      </c>
      <c r="F39" s="47">
        <f>E39-E30</f>
        <v>2112.6800000000076</v>
      </c>
      <c r="G39" s="47">
        <v>7978</v>
      </c>
      <c r="H39" s="47">
        <f>IF(F39&gt;G39,0,G39-F39)</f>
        <v>5865.319999999992</v>
      </c>
    </row>
    <row r="40" spans="2:8" ht="12.75">
      <c r="B40" s="46" t="s">
        <v>101</v>
      </c>
      <c r="C40" s="47">
        <f>4225.36*21</f>
        <v>88732.56</v>
      </c>
      <c r="D40" s="47">
        <f>3.5*4225.36</f>
        <v>14788.759999999998</v>
      </c>
      <c r="E40" s="47">
        <f t="shared" si="0"/>
        <v>103521.31999999999</v>
      </c>
      <c r="F40" s="47">
        <f>E40-E30</f>
        <v>-2112.679999999993</v>
      </c>
      <c r="G40" s="47">
        <v>7978</v>
      </c>
      <c r="H40" s="47">
        <v>7978</v>
      </c>
    </row>
    <row r="41" spans="3:8" ht="12.75">
      <c r="C41" s="14"/>
      <c r="D41" s="14"/>
      <c r="E41" s="14"/>
      <c r="F41" s="14"/>
      <c r="G41" s="14"/>
      <c r="H41" s="14"/>
    </row>
    <row r="42" spans="3:8" ht="12.75">
      <c r="C42" s="14"/>
      <c r="D42" s="14"/>
      <c r="E42" s="14"/>
      <c r="F42" s="14"/>
      <c r="G42" s="14"/>
      <c r="H42" s="14"/>
    </row>
    <row r="43" spans="1:8" ht="15.75">
      <c r="A43" s="40" t="s">
        <v>102</v>
      </c>
      <c r="B43" s="42"/>
      <c r="C43" s="48"/>
      <c r="D43" s="14"/>
      <c r="E43" s="14"/>
      <c r="F43" s="14"/>
      <c r="G43" s="14"/>
      <c r="H43" s="14"/>
    </row>
    <row r="44" spans="1:8" ht="15.75">
      <c r="A44" s="49"/>
      <c r="B44" s="50"/>
      <c r="C44" s="51"/>
      <c r="D44" s="14"/>
      <c r="E44" s="14"/>
      <c r="F44" s="14"/>
      <c r="G44" s="14"/>
      <c r="H44" s="14"/>
    </row>
    <row r="45" spans="1:8" ht="12.75">
      <c r="A45" s="16"/>
      <c r="C45" s="14"/>
      <c r="D45" s="14"/>
      <c r="E45" s="14"/>
      <c r="F45" s="14"/>
      <c r="G45" s="14"/>
      <c r="H45" s="14"/>
    </row>
    <row r="46" spans="3:8" ht="38.25">
      <c r="C46" s="44" t="s">
        <v>94</v>
      </c>
      <c r="D46" s="45" t="s">
        <v>95</v>
      </c>
      <c r="E46" s="44" t="s">
        <v>31</v>
      </c>
      <c r="F46" s="45" t="s">
        <v>96</v>
      </c>
      <c r="G46" s="45" t="s">
        <v>97</v>
      </c>
      <c r="H46" s="45" t="s">
        <v>98</v>
      </c>
    </row>
    <row r="47" spans="2:8" ht="12.75">
      <c r="B47" s="46" t="s">
        <v>100</v>
      </c>
      <c r="C47" s="47">
        <f>4225.36*22</f>
        <v>92957.92</v>
      </c>
      <c r="D47" s="47">
        <f>4225.36*7</f>
        <v>29577.519999999997</v>
      </c>
      <c r="E47" s="47">
        <f t="shared" si="0"/>
        <v>122535.44</v>
      </c>
      <c r="F47" s="47">
        <f>E47-E30</f>
        <v>16901.440000000017</v>
      </c>
      <c r="G47" s="47">
        <f>7978*2</f>
        <v>15956</v>
      </c>
      <c r="H47" s="47">
        <f>IF(F47&gt;G47,0,G47-F47)</f>
        <v>0</v>
      </c>
    </row>
    <row r="48" spans="2:8" ht="12.75">
      <c r="B48" s="46" t="s">
        <v>101</v>
      </c>
      <c r="C48" s="47">
        <f>4225.36*21</f>
        <v>88732.56</v>
      </c>
      <c r="D48" s="47">
        <f>4225.36*7</f>
        <v>29577.519999999997</v>
      </c>
      <c r="E48" s="47">
        <f t="shared" si="0"/>
        <v>118310.07999999999</v>
      </c>
      <c r="F48" s="47">
        <f>E48-E30</f>
        <v>12676.080000000002</v>
      </c>
      <c r="G48" s="47">
        <f>7978*2</f>
        <v>15956</v>
      </c>
      <c r="H48" s="47">
        <f>IF(F48&gt;G48,0,G48-F48)</f>
        <v>3279.9199999999983</v>
      </c>
    </row>
    <row r="49" spans="2:8" ht="12.75">
      <c r="B49" s="46" t="s">
        <v>103</v>
      </c>
      <c r="C49" s="47">
        <f>4225.36*20</f>
        <v>84507.2</v>
      </c>
      <c r="D49" s="47">
        <f>4225.36*7</f>
        <v>29577.519999999997</v>
      </c>
      <c r="E49" s="47">
        <f t="shared" si="0"/>
        <v>114084.72</v>
      </c>
      <c r="F49" s="47">
        <f>E49-E30</f>
        <v>8450.720000000016</v>
      </c>
      <c r="G49" s="47">
        <f>7978*2</f>
        <v>15956</v>
      </c>
      <c r="H49" s="47">
        <f>IF(F49&gt;G49,0,G49-F49)</f>
        <v>7505.279999999984</v>
      </c>
    </row>
    <row r="50" spans="2:8" ht="12.75">
      <c r="B50" s="46" t="s">
        <v>104</v>
      </c>
      <c r="C50" s="47">
        <f>4225.36*19</f>
        <v>80281.84</v>
      </c>
      <c r="D50" s="47">
        <f>4225.36*7</f>
        <v>29577.519999999997</v>
      </c>
      <c r="E50" s="47">
        <f t="shared" si="0"/>
        <v>109859.35999999999</v>
      </c>
      <c r="F50" s="47">
        <f>E50-E30</f>
        <v>4225.360000000001</v>
      </c>
      <c r="G50" s="47">
        <f>7978*2</f>
        <v>15956</v>
      </c>
      <c r="H50" s="47">
        <v>7978</v>
      </c>
    </row>
    <row r="51" spans="3:8" ht="12.75">
      <c r="C51" s="14"/>
      <c r="D51" s="14"/>
      <c r="E51" s="14"/>
      <c r="F51" s="14"/>
      <c r="G51" s="14"/>
      <c r="H51" s="14"/>
    </row>
    <row r="52" spans="3:8" ht="15.75">
      <c r="C52" s="14"/>
      <c r="D52" s="14"/>
      <c r="E52" s="14"/>
      <c r="F52" s="14"/>
      <c r="G52" s="52"/>
      <c r="H52" s="53"/>
    </row>
    <row r="53" spans="3:8" ht="12.75">
      <c r="C53" s="14"/>
      <c r="D53" s="14"/>
      <c r="E53" s="14"/>
      <c r="F53" s="14"/>
      <c r="G53" s="14"/>
      <c r="H53" s="14"/>
    </row>
    <row r="54" spans="2:8" ht="15.75">
      <c r="B54" s="13"/>
      <c r="C54" s="18"/>
      <c r="D54" s="18"/>
      <c r="E54" s="18"/>
      <c r="F54" s="18"/>
      <c r="G54" s="18"/>
      <c r="H54" s="18"/>
    </row>
    <row r="55" spans="3:6" ht="12.75">
      <c r="C55" s="14"/>
      <c r="D55" s="14"/>
      <c r="E55" s="14"/>
      <c r="F55" s="14"/>
    </row>
  </sheetData>
  <printOptions/>
  <pageMargins left="0.75" right="0.75" top="1" bottom="1" header="0.4921259845" footer="0.4921259845"/>
  <pageSetup horizontalDpi="300" verticalDpi="300" orientation="landscape" paperSize="9" scale="99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InfoKom</cp:lastModifiedBy>
  <cp:lastPrinted>2008-04-17T11:31:23Z</cp:lastPrinted>
  <dcterms:created xsi:type="dcterms:W3CDTF">2008-03-06T20:12:07Z</dcterms:created>
  <dcterms:modified xsi:type="dcterms:W3CDTF">2008-04-23T08:02:17Z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-1989002799</vt:i4>
  </property>
  <property fmtid="{D5CDD505-2E9C-101B-9397-08002B2CF9AE}" pid="3" name="_EmailSubject">
    <vt:lpwstr>Anlagen 1,2+3 E-Vorlage Nr. 12-3025-1.xls</vt:lpwstr>
  </property>
  <property fmtid="{D5CDD505-2E9C-101B-9397-08002B2CF9AE}" pid="4" name="_AuthorEmail">
    <vt:lpwstr>Dieter.Sielhorst@lvr.de</vt:lpwstr>
  </property>
  <property fmtid="{D5CDD505-2E9C-101B-9397-08002B2CF9AE}" pid="5" name="_AuthorEmailDisplayName">
    <vt:lpwstr>Sielhorst, Dieter</vt:lpwstr>
  </property>
  <property fmtid="{D5CDD505-2E9C-101B-9397-08002B2CF9AE}" pid="6" name="_ReviewingToolsShownOnce">
    <vt:lpwstr/>
  </property>
</Properties>
</file>